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"/>
    </mc:Choice>
  </mc:AlternateContent>
  <xr:revisionPtr revIDLastSave="0" documentId="13_ncr:1_{CE743964-484C-44DE-974C-94396C5675FB}" xr6:coauthVersionLast="47" xr6:coauthVersionMax="47" xr10:uidLastSave="{00000000-0000-0000-0000-000000000000}"/>
  <bookViews>
    <workbookView xWindow="-120" yWindow="-120" windowWidth="20730" windowHeight="11760" xr2:uid="{189100ED-0031-431A-8C67-DF5DB6BBFD4D}"/>
  </bookViews>
  <sheets>
    <sheet name="trigo" sheetId="1" r:id="rId1"/>
    <sheet name="Girasol" sheetId="2" r:id="rId2"/>
    <sheet name="Maiz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3" l="1"/>
  <c r="D53" i="2"/>
  <c r="D52" i="1"/>
  <c r="J49" i="2"/>
  <c r="G26" i="2"/>
  <c r="F26" i="2"/>
  <c r="J45" i="3"/>
  <c r="G24" i="3"/>
  <c r="F24" i="3"/>
  <c r="G21" i="3"/>
  <c r="F21" i="3"/>
  <c r="J48" i="1"/>
  <c r="J47" i="1"/>
  <c r="D35" i="1"/>
  <c r="G26" i="1"/>
  <c r="D32" i="3" l="1"/>
  <c r="F23" i="1"/>
  <c r="G23" i="1" s="1"/>
  <c r="F23" i="2"/>
  <c r="F25" i="2"/>
  <c r="G25" i="2" s="1"/>
  <c r="F27" i="3"/>
  <c r="F29" i="2"/>
  <c r="F18" i="2"/>
  <c r="F30" i="1"/>
  <c r="F19" i="1"/>
  <c r="F26" i="3"/>
  <c r="F23" i="3"/>
  <c r="G23" i="3" s="1"/>
  <c r="F22" i="3"/>
  <c r="G22" i="3" s="1"/>
  <c r="F25" i="3"/>
  <c r="F20" i="3"/>
  <c r="F19" i="3"/>
  <c r="F18" i="3"/>
  <c r="G18" i="3" s="1"/>
  <c r="F17" i="3"/>
  <c r="F15" i="3"/>
  <c r="F14" i="3"/>
  <c r="F13" i="3"/>
  <c r="F12" i="3"/>
  <c r="F11" i="3"/>
  <c r="F20" i="2" l="1"/>
  <c r="G20" i="2" s="1"/>
  <c r="F22" i="2"/>
  <c r="G22" i="2" s="1"/>
  <c r="F21" i="2"/>
  <c r="G21" i="2" s="1"/>
  <c r="F24" i="2"/>
  <c r="G24" i="2" s="1"/>
  <c r="F28" i="2"/>
  <c r="G28" i="2" s="1"/>
  <c r="E23" i="2"/>
  <c r="G23" i="2" s="1"/>
  <c r="G18" i="2"/>
  <c r="J50" i="2" s="1"/>
  <c r="F17" i="2"/>
  <c r="G17" i="2" s="1"/>
  <c r="G29" i="2"/>
  <c r="F27" i="2"/>
  <c r="G27" i="2" s="1"/>
  <c r="F19" i="2"/>
  <c r="G19" i="2" s="1"/>
  <c r="F26" i="1"/>
  <c r="F29" i="1"/>
  <c r="G29" i="1" s="1"/>
  <c r="F27" i="1"/>
  <c r="G27" i="1" s="1"/>
  <c r="F25" i="1"/>
  <c r="G25" i="1" s="1"/>
  <c r="F24" i="1"/>
  <c r="G24" i="1" s="1"/>
  <c r="F22" i="1"/>
  <c r="F21" i="1"/>
  <c r="G21" i="1" s="1"/>
  <c r="G19" i="1"/>
  <c r="F16" i="2"/>
  <c r="G16" i="2" s="1"/>
  <c r="F14" i="2"/>
  <c r="G14" i="2" s="1"/>
  <c r="F13" i="2"/>
  <c r="G13" i="2" s="1"/>
  <c r="F11" i="2"/>
  <c r="G11" i="2" s="1"/>
  <c r="F12" i="2"/>
  <c r="G12" i="2" s="1"/>
  <c r="F10" i="2"/>
  <c r="G10" i="2" s="1"/>
  <c r="F28" i="1"/>
  <c r="G28" i="1" s="1"/>
  <c r="F20" i="1"/>
  <c r="G20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33" i="3"/>
  <c r="G27" i="3"/>
  <c r="G26" i="3"/>
  <c r="D26" i="3"/>
  <c r="G25" i="3"/>
  <c r="G20" i="3"/>
  <c r="G19" i="3"/>
  <c r="J46" i="3" s="1"/>
  <c r="G17" i="3"/>
  <c r="G16" i="3"/>
  <c r="G15" i="3"/>
  <c r="G14" i="3"/>
  <c r="G13" i="3"/>
  <c r="G12" i="3"/>
  <c r="G11" i="3"/>
  <c r="E36" i="2"/>
  <c r="D35" i="2"/>
  <c r="D17" i="2"/>
  <c r="G15" i="2"/>
  <c r="E36" i="1"/>
  <c r="D40" i="1" s="1"/>
  <c r="G30" i="1"/>
  <c r="D29" i="1"/>
  <c r="D27" i="1"/>
  <c r="G22" i="1"/>
  <c r="D21" i="1"/>
  <c r="D18" i="1"/>
  <c r="J46" i="1" l="1"/>
  <c r="J48" i="2"/>
  <c r="J44" i="3"/>
  <c r="D41" i="2"/>
  <c r="E37" i="2"/>
  <c r="E37" i="1"/>
  <c r="C40" i="1" s="1"/>
  <c r="C43" i="1" s="1"/>
  <c r="D43" i="1" s="1"/>
  <c r="E34" i="3"/>
  <c r="D38" i="3" s="1"/>
  <c r="D37" i="3"/>
  <c r="C37" i="3" s="1"/>
  <c r="C40" i="3" s="1"/>
  <c r="G30" i="2"/>
  <c r="G28" i="3"/>
  <c r="G31" i="1"/>
  <c r="J49" i="1" l="1"/>
  <c r="D48" i="1"/>
  <c r="G32" i="1"/>
  <c r="D40" i="3"/>
  <c r="J47" i="3" s="1"/>
  <c r="D49" i="2"/>
  <c r="G31" i="2"/>
  <c r="D39" i="3"/>
  <c r="D43" i="3"/>
  <c r="D45" i="3"/>
  <c r="G29" i="3"/>
  <c r="D46" i="1"/>
  <c r="D50" i="1" s="1"/>
  <c r="D42" i="1"/>
  <c r="D41" i="1"/>
  <c r="D43" i="2"/>
  <c r="D42" i="2"/>
  <c r="C41" i="2"/>
  <c r="C44" i="2" s="1"/>
  <c r="D47" i="3" l="1"/>
  <c r="D44" i="2"/>
  <c r="J51" i="2" l="1"/>
  <c r="D47" i="2"/>
  <c r="D51" i="2" s="1"/>
</calcChain>
</file>

<file path=xl/sharedStrings.xml><?xml version="1.0" encoding="utf-8"?>
<sst xmlns="http://schemas.openxmlformats.org/spreadsheetml/2006/main" count="207" uniqueCount="87">
  <si>
    <t>Fecha:</t>
  </si>
  <si>
    <t>Dólar:</t>
  </si>
  <si>
    <t>US$/tn:</t>
  </si>
  <si>
    <t>MARGEN BRUTO: TRIGO</t>
  </si>
  <si>
    <t>COSTO DE IMPLANTACIÓN</t>
  </si>
  <si>
    <t>Labores</t>
  </si>
  <si>
    <t>Insumos</t>
  </si>
  <si>
    <t>Valores</t>
  </si>
  <si>
    <t>Actividad</t>
  </si>
  <si>
    <t>Cantidad</t>
  </si>
  <si>
    <t>Producto</t>
  </si>
  <si>
    <t>Dosis</t>
  </si>
  <si>
    <t>$/Unidad</t>
  </si>
  <si>
    <t>$/ha</t>
  </si>
  <si>
    <t>Rastrear (pesada)</t>
  </si>
  <si>
    <t>Rastrear (liviana)</t>
  </si>
  <si>
    <t>Cincelar</t>
  </si>
  <si>
    <t>Bordear</t>
  </si>
  <si>
    <t>Borrar Bordos</t>
  </si>
  <si>
    <t>Regar (pres. mac. enc.) (0,33 jorn/riego)</t>
  </si>
  <si>
    <t>Siembra (con cajón abonador)</t>
  </si>
  <si>
    <t>Semilla</t>
  </si>
  <si>
    <t>Fertlizante</t>
  </si>
  <si>
    <t>Aplicar Herbicida</t>
  </si>
  <si>
    <t>Herbicida</t>
  </si>
  <si>
    <t>Insecticida</t>
  </si>
  <si>
    <t>Adherente</t>
  </si>
  <si>
    <t>Aplicar fertilizante al voleo</t>
  </si>
  <si>
    <t>Fertilizante</t>
  </si>
  <si>
    <t>Cosecha</t>
  </si>
  <si>
    <t>Costo Total Cultivo</t>
  </si>
  <si>
    <t>Ingreso Bruto</t>
  </si>
  <si>
    <t>Valor</t>
  </si>
  <si>
    <t>Precio Bruto esperado</t>
  </si>
  <si>
    <t>$/tn</t>
  </si>
  <si>
    <t>Rendimiento promedio esperado</t>
  </si>
  <si>
    <t>kg/ha</t>
  </si>
  <si>
    <t xml:space="preserve">Total Ingreso Bruto </t>
  </si>
  <si>
    <t>Gastos de comercialización</t>
  </si>
  <si>
    <t>% Ing. Bruto</t>
  </si>
  <si>
    <t>Flete corto y largo</t>
  </si>
  <si>
    <t>Impuestos-Sellado</t>
  </si>
  <si>
    <t>Comisión Acopio</t>
  </si>
  <si>
    <t>Total Gastos Comerciales</t>
  </si>
  <si>
    <t>INGRESO NETO</t>
  </si>
  <si>
    <t>GASTOS DIRECTOS</t>
  </si>
  <si>
    <t>MARGEN BRUTO</t>
  </si>
  <si>
    <r>
      <rPr>
        <b/>
        <u/>
        <sz val="20"/>
        <color indexed="8"/>
        <rFont val="Calibri"/>
        <family val="2"/>
      </rPr>
      <t>MARGEN BRUTO: GIRASOL COMERCIAL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0"/>
        <rFont val="Calibri"/>
        <family val="2"/>
      </rPr>
      <t xml:space="preserve"> CAMPO PILOTO</t>
    </r>
  </si>
  <si>
    <t>Regar (pres, aporq, flor,) (0,33 jorn/riego)</t>
  </si>
  <si>
    <t>Pulverizar</t>
  </si>
  <si>
    <t>MARGEN BRUTO: MAÍZ</t>
  </si>
  <si>
    <t>DAP</t>
  </si>
  <si>
    <t>Aplicaciones</t>
  </si>
  <si>
    <t>Tordon</t>
  </si>
  <si>
    <t>Clorpirifos</t>
  </si>
  <si>
    <t>Fungicida</t>
  </si>
  <si>
    <t>Elatus Ace</t>
  </si>
  <si>
    <t>Gas oil</t>
  </si>
  <si>
    <t>Glifosato</t>
  </si>
  <si>
    <t>Fertilizar al voleo</t>
  </si>
  <si>
    <t>Atrazina</t>
  </si>
  <si>
    <t>RENDIMIENTO DE INDIFERENCIA</t>
  </si>
  <si>
    <t>Kg</t>
  </si>
  <si>
    <t>Corrector de agua</t>
  </si>
  <si>
    <t>s-metolaclor</t>
  </si>
  <si>
    <t>fluorocloridona</t>
  </si>
  <si>
    <t>Claersol</t>
  </si>
  <si>
    <t>Urea</t>
  </si>
  <si>
    <t>Correctorde agua</t>
  </si>
  <si>
    <t>Solomon</t>
  </si>
  <si>
    <t>Fertilizar</t>
  </si>
  <si>
    <t>Desecante</t>
  </si>
  <si>
    <t>Paraquat</t>
  </si>
  <si>
    <t>(440+60)</t>
  </si>
  <si>
    <t>Axial</t>
  </si>
  <si>
    <t xml:space="preserve">Flete </t>
  </si>
  <si>
    <t>Semilla 7761</t>
  </si>
  <si>
    <t>labores</t>
  </si>
  <si>
    <t>insumos</t>
  </si>
  <si>
    <t>comercializacion</t>
  </si>
  <si>
    <t>fertilizantes</t>
  </si>
  <si>
    <t>USS</t>
  </si>
  <si>
    <t>Tensioactivos</t>
  </si>
  <si>
    <t>silwet</t>
  </si>
  <si>
    <t>ac fosforico</t>
  </si>
  <si>
    <t>coadyuvante</t>
  </si>
  <si>
    <t>aceite 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</si>
</sst>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C0A]\ #,##0.00"/>
    <numFmt numFmtId="165" formatCode="[$$-2C0A]\ 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4" fillId="3" borderId="1" xfId="0" applyNumberFormat="1" applyFont="1" applyFill="1" applyBorder="1"/>
    <xf numFmtId="0" fontId="4" fillId="3" borderId="1" xfId="0" applyFont="1" applyFill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10" fontId="5" fillId="0" borderId="1" xfId="0" applyNumberFormat="1" applyFont="1" applyBorder="1"/>
    <xf numFmtId="10" fontId="4" fillId="3" borderId="1" xfId="0" applyNumberFormat="1" applyFont="1" applyFill="1" applyBorder="1"/>
    <xf numFmtId="0" fontId="4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0" fillId="0" borderId="0" xfId="0" applyNumberFormat="1"/>
    <xf numFmtId="0" fontId="11" fillId="0" borderId="0" xfId="0" applyFont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Border="1"/>
    <xf numFmtId="164" fontId="5" fillId="0" borderId="6" xfId="0" applyNumberFormat="1" applyFont="1" applyBorder="1"/>
    <xf numFmtId="164" fontId="4" fillId="3" borderId="7" xfId="0" applyNumberFormat="1" applyFont="1" applyFill="1" applyBorder="1"/>
    <xf numFmtId="0" fontId="0" fillId="0" borderId="2" xfId="0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" xfId="0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" fillId="5" borderId="1" xfId="0" applyFon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Constitucion</a:t>
            </a:r>
            <a:r>
              <a:rPr lang="es-AR" baseline="0"/>
              <a:t> de los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38888888888888"/>
          <c:y val="0.21078521434820643"/>
          <c:w val="0.81388888888888888"/>
          <c:h val="0.574794765237678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BD-4599-B8FB-9AC9765D6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BD-4599-B8FB-9AC9765D6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BD-4599-B8FB-9AC9765D6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BD-4599-B8FB-9AC9765D6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trigo!$I$46:$I$49</c:f>
              <c:strCache>
                <c:ptCount val="4"/>
                <c:pt idx="0">
                  <c:v>labores</c:v>
                </c:pt>
                <c:pt idx="1">
                  <c:v>insumos</c:v>
                </c:pt>
                <c:pt idx="2">
                  <c:v>fertilizantes</c:v>
                </c:pt>
                <c:pt idx="3">
                  <c:v>comercializacion</c:v>
                </c:pt>
              </c:strCache>
            </c:strRef>
          </c:cat>
          <c:val>
            <c:numRef>
              <c:f>trigo!$J$46:$J$49</c:f>
              <c:numCache>
                <c:formatCode>[$$-2C0A]\ #,##0.00</c:formatCode>
                <c:ptCount val="4"/>
                <c:pt idx="0">
                  <c:v>23040</c:v>
                </c:pt>
                <c:pt idx="1">
                  <c:v>21751.170000000002</c:v>
                </c:pt>
                <c:pt idx="2">
                  <c:v>27762</c:v>
                </c:pt>
                <c:pt idx="3">
                  <c:v>8371.3000000000011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5-4545-B0CB-BA6F8385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83005249343832"/>
          <c:y val="0.81539297171186931"/>
          <c:w val="0.71200656167979004"/>
          <c:h val="0.15682925051035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984486551322722E-2"/>
          <c:y val="0.19109215999162896"/>
          <c:w val="0.82553411852186265"/>
          <c:h val="0.587759785840723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F6-4143-B570-51BCE5C84D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F6-4143-B570-51BCE5C84D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9F6-4143-B570-51BCE5C84D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9F6-4143-B570-51BCE5C84D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Girasol!$I$48:$I$51</c:f>
              <c:strCache>
                <c:ptCount val="4"/>
                <c:pt idx="0">
                  <c:v>labores</c:v>
                </c:pt>
                <c:pt idx="1">
                  <c:v>insumos</c:v>
                </c:pt>
                <c:pt idx="2">
                  <c:v>fertilizantes</c:v>
                </c:pt>
                <c:pt idx="3">
                  <c:v>comercializacion</c:v>
                </c:pt>
              </c:strCache>
            </c:strRef>
          </c:cat>
          <c:val>
            <c:numRef>
              <c:f>Girasol!$J$48:$J$51</c:f>
              <c:numCache>
                <c:formatCode>[$$-2C0A]\ #,##0.00</c:formatCode>
                <c:ptCount val="4"/>
                <c:pt idx="0">
                  <c:v>30465</c:v>
                </c:pt>
                <c:pt idx="1">
                  <c:v>14167.5</c:v>
                </c:pt>
                <c:pt idx="2">
                  <c:v>17682</c:v>
                </c:pt>
                <c:pt idx="3">
                  <c:v>11620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50E-8929-91C44061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47B-4FC6-89CD-59322954F5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7B-4FC6-89CD-59322954F5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47B-4FC6-89CD-59322954F5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7B-4FC6-89CD-59322954F5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Maiz!$I$44:$I$47</c:f>
              <c:strCache>
                <c:ptCount val="4"/>
                <c:pt idx="0">
                  <c:v>labores</c:v>
                </c:pt>
                <c:pt idx="1">
                  <c:v>insumos</c:v>
                </c:pt>
                <c:pt idx="2">
                  <c:v>fertilizantes</c:v>
                </c:pt>
                <c:pt idx="3">
                  <c:v>comercializacion</c:v>
                </c:pt>
              </c:strCache>
            </c:strRef>
          </c:cat>
          <c:val>
            <c:numRef>
              <c:f>Maiz!$J$44:$J$47</c:f>
              <c:numCache>
                <c:formatCode>[$$-2C0A]\ #,##0.00</c:formatCode>
                <c:ptCount val="4"/>
                <c:pt idx="0">
                  <c:v>28335</c:v>
                </c:pt>
                <c:pt idx="1">
                  <c:v>25504.5</c:v>
                </c:pt>
                <c:pt idx="2">
                  <c:v>40677</c:v>
                </c:pt>
                <c:pt idx="3">
                  <c:v>22230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B-4FC6-89CD-59322954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37</xdr:row>
      <xdr:rowOff>133350</xdr:rowOff>
    </xdr:from>
    <xdr:to>
      <xdr:col>11</xdr:col>
      <xdr:colOff>609600</xdr:colOff>
      <xdr:row>52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E8C40FB-7F75-44BD-B90B-9023C4F96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38</xdr:row>
      <xdr:rowOff>0</xdr:rowOff>
    </xdr:from>
    <xdr:to>
      <xdr:col>13</xdr:col>
      <xdr:colOff>619124</xdr:colOff>
      <xdr:row>53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316F98-86B6-4018-8E62-47FB9FDF1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35</xdr:row>
      <xdr:rowOff>28575</xdr:rowOff>
    </xdr:from>
    <xdr:to>
      <xdr:col>12</xdr:col>
      <xdr:colOff>247650</xdr:colOff>
      <xdr:row>49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EFCE04-AE4F-4C1C-9D48-A2E3A4D7D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FO/1.%20DISCO%20EXTERNO/Desarrollo/Presupuesto%20Cooperadora%202017/MARGENES%20BRUTO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LABORES"/>
      <sheetName val="TRIGO (campo piloto)"/>
      <sheetName val="TRIGO"/>
      <sheetName val="GIRASOL COM (campo piloto)"/>
      <sheetName val="GIRASOL COM"/>
      <sheetName val="GIRASOL SEM (campo piloto)"/>
      <sheetName val="GIRASOL SEMILLA"/>
      <sheetName val="MAÍZ (campo piloto)"/>
      <sheetName val="MAÍZ"/>
      <sheetName val="MAÍZ SILO (campo piloto)"/>
      <sheetName val="SOJA"/>
      <sheetName val="ALFALFA SEMILLA"/>
      <sheetName val="PASTURA (campo piloto)"/>
      <sheetName val="INVERNADA (campo piloto)"/>
      <sheetName val="INVERNADA"/>
      <sheetName val="CEBOLLA SURCO"/>
      <sheetName val="CEBOLLA TABLON"/>
      <sheetName val="CEBOLLA ASPERSIÓN"/>
      <sheetName val="CEBOLLA ASPERSIÓN (EE)"/>
      <sheetName val="Hoja1"/>
      <sheetName val="Hoja2"/>
    </sheetNames>
    <sheetDataSet>
      <sheetData sheetId="0">
        <row r="9">
          <cell r="B9" t="str">
            <v>2,4-D</v>
          </cell>
        </row>
        <row r="40">
          <cell r="B40" t="str">
            <v>UREA</v>
          </cell>
        </row>
        <row r="66">
          <cell r="B66" t="str">
            <v>ADHERENTE</v>
          </cell>
        </row>
        <row r="86">
          <cell r="B86" t="str">
            <v>GIRASOL COMÚN</v>
          </cell>
        </row>
        <row r="96">
          <cell r="B96" t="str">
            <v>TRIGO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D9420-A980-469E-8518-9E016B004241}">
  <dimension ref="B2:J52"/>
  <sheetViews>
    <sheetView tabSelected="1" topLeftCell="A34" workbookViewId="0">
      <selection activeCell="D53" sqref="D53"/>
    </sheetView>
  </sheetViews>
  <sheetFormatPr baseColWidth="10" defaultRowHeight="15" x14ac:dyDescent="0.25"/>
  <cols>
    <col min="2" max="2" width="41" bestFit="1" customWidth="1"/>
    <col min="4" max="4" width="13.140625" bestFit="1" customWidth="1"/>
    <col min="9" max="9" width="17" customWidth="1"/>
  </cols>
  <sheetData>
    <row r="2" spans="2:7" x14ac:dyDescent="0.25">
      <c r="E2" s="1" t="s">
        <v>0</v>
      </c>
      <c r="F2" s="2">
        <v>44489</v>
      </c>
    </row>
    <row r="3" spans="2:7" x14ac:dyDescent="0.25">
      <c r="E3" s="1" t="s">
        <v>1</v>
      </c>
      <c r="F3" s="1">
        <v>105</v>
      </c>
    </row>
    <row r="4" spans="2:7" x14ac:dyDescent="0.25">
      <c r="E4" s="1" t="s">
        <v>2</v>
      </c>
      <c r="F4" s="1">
        <v>245</v>
      </c>
    </row>
    <row r="5" spans="2:7" x14ac:dyDescent="0.25">
      <c r="E5" s="55" t="s">
        <v>57</v>
      </c>
      <c r="F5" s="56">
        <v>91</v>
      </c>
    </row>
    <row r="6" spans="2:7" ht="26.25" x14ac:dyDescent="0.4">
      <c r="B6" s="3" t="s">
        <v>3</v>
      </c>
      <c r="D6" s="4"/>
    </row>
    <row r="8" spans="2:7" x14ac:dyDescent="0.25">
      <c r="B8" s="40" t="s">
        <v>4</v>
      </c>
      <c r="C8" s="41"/>
      <c r="D8" s="41"/>
      <c r="E8" s="41"/>
      <c r="F8" s="41"/>
      <c r="G8" s="42"/>
    </row>
    <row r="9" spans="2:7" x14ac:dyDescent="0.25">
      <c r="B9" s="43" t="s">
        <v>5</v>
      </c>
      <c r="C9" s="44"/>
      <c r="D9" s="43" t="s">
        <v>6</v>
      </c>
      <c r="E9" s="44"/>
      <c r="F9" s="43" t="s">
        <v>7</v>
      </c>
      <c r="G9" s="44"/>
    </row>
    <row r="10" spans="2:7" x14ac:dyDescent="0.25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</row>
    <row r="11" spans="2:7" x14ac:dyDescent="0.25">
      <c r="B11" s="6" t="s">
        <v>14</v>
      </c>
      <c r="C11" s="7">
        <v>1</v>
      </c>
      <c r="D11" s="7"/>
      <c r="E11" s="7"/>
      <c r="F11" s="8">
        <f>40*F5</f>
        <v>3640</v>
      </c>
      <c r="G11" s="8">
        <f>+F11*C11</f>
        <v>3640</v>
      </c>
    </row>
    <row r="12" spans="2:7" x14ac:dyDescent="0.25">
      <c r="B12" s="6" t="s">
        <v>15</v>
      </c>
      <c r="C12" s="7">
        <v>1</v>
      </c>
      <c r="D12" s="7"/>
      <c r="E12" s="7"/>
      <c r="F12" s="8">
        <f>30*F5</f>
        <v>2730</v>
      </c>
      <c r="G12" s="8">
        <f t="shared" ref="G12:G17" si="0">+F12*C12</f>
        <v>2730</v>
      </c>
    </row>
    <row r="13" spans="2:7" x14ac:dyDescent="0.25">
      <c r="B13" s="6" t="s">
        <v>16</v>
      </c>
      <c r="C13" s="7">
        <v>0</v>
      </c>
      <c r="D13" s="7"/>
      <c r="E13" s="7"/>
      <c r="F13" s="8">
        <f>35*F5</f>
        <v>3185</v>
      </c>
      <c r="G13" s="8">
        <f t="shared" si="0"/>
        <v>0</v>
      </c>
    </row>
    <row r="14" spans="2:7" x14ac:dyDescent="0.25">
      <c r="B14" s="6" t="s">
        <v>17</v>
      </c>
      <c r="C14" s="7">
        <v>1</v>
      </c>
      <c r="D14" s="7"/>
      <c r="E14" s="7"/>
      <c r="F14" s="8">
        <f>5*F5</f>
        <v>455</v>
      </c>
      <c r="G14" s="8">
        <f t="shared" si="0"/>
        <v>455</v>
      </c>
    </row>
    <row r="15" spans="2:7" x14ac:dyDescent="0.25">
      <c r="B15" s="6" t="s">
        <v>18</v>
      </c>
      <c r="C15" s="7">
        <v>0</v>
      </c>
      <c r="D15" s="7"/>
      <c r="E15" s="7"/>
      <c r="F15" s="8">
        <f>5*F5</f>
        <v>455</v>
      </c>
      <c r="G15" s="8">
        <f t="shared" si="0"/>
        <v>0</v>
      </c>
    </row>
    <row r="16" spans="2:7" x14ac:dyDescent="0.25">
      <c r="B16" s="6" t="s">
        <v>19</v>
      </c>
      <c r="C16" s="7">
        <v>2</v>
      </c>
      <c r="D16" s="7"/>
      <c r="E16" s="7"/>
      <c r="F16" s="8">
        <f>600</f>
        <v>600</v>
      </c>
      <c r="G16" s="8">
        <f t="shared" si="0"/>
        <v>1200</v>
      </c>
    </row>
    <row r="17" spans="2:7" x14ac:dyDescent="0.25">
      <c r="B17" s="6" t="s">
        <v>20</v>
      </c>
      <c r="C17" s="7">
        <v>1</v>
      </c>
      <c r="D17" s="7"/>
      <c r="E17" s="7"/>
      <c r="F17" s="8">
        <f>35*F5</f>
        <v>3185</v>
      </c>
      <c r="G17" s="8">
        <f t="shared" si="0"/>
        <v>3185</v>
      </c>
    </row>
    <row r="18" spans="2:7" x14ac:dyDescent="0.25">
      <c r="B18" s="6" t="s">
        <v>21</v>
      </c>
      <c r="C18" s="7"/>
      <c r="D18" s="7" t="str">
        <f>[1]INSUMOS!B96</f>
        <v>TRIGO</v>
      </c>
      <c r="E18" s="7">
        <v>125</v>
      </c>
      <c r="F18" s="8">
        <f>(25*F3)/20</f>
        <v>131.25</v>
      </c>
      <c r="G18" s="8">
        <f>+F18*E18</f>
        <v>16406.25</v>
      </c>
    </row>
    <row r="19" spans="2:7" x14ac:dyDescent="0.25">
      <c r="B19" s="6" t="s">
        <v>22</v>
      </c>
      <c r="C19" s="7"/>
      <c r="D19" s="9" t="s">
        <v>51</v>
      </c>
      <c r="E19" s="7">
        <v>100</v>
      </c>
      <c r="F19" s="8">
        <f>880*F3/1000</f>
        <v>92.4</v>
      </c>
      <c r="G19" s="8">
        <f>+F19*E19</f>
        <v>9240</v>
      </c>
    </row>
    <row r="20" spans="2:7" x14ac:dyDescent="0.25">
      <c r="B20" s="6" t="s">
        <v>52</v>
      </c>
      <c r="C20" s="7">
        <v>3</v>
      </c>
      <c r="D20" s="7"/>
      <c r="E20" s="7"/>
      <c r="F20" s="8">
        <f>10*F5</f>
        <v>910</v>
      </c>
      <c r="G20" s="8">
        <f>+F20*C20</f>
        <v>2730</v>
      </c>
    </row>
    <row r="21" spans="2:7" x14ac:dyDescent="0.25">
      <c r="B21" s="6" t="s">
        <v>24</v>
      </c>
      <c r="C21" s="7"/>
      <c r="D21" s="7" t="str">
        <f>[1]INSUMOS!B9</f>
        <v>2,4-D</v>
      </c>
      <c r="E21" s="7">
        <v>0.35</v>
      </c>
      <c r="F21" s="8">
        <f>6.8*F3</f>
        <v>714</v>
      </c>
      <c r="G21" s="8">
        <f>+F21*E21</f>
        <v>249.89999999999998</v>
      </c>
    </row>
    <row r="22" spans="2:7" x14ac:dyDescent="0.25">
      <c r="B22" s="6" t="s">
        <v>24</v>
      </c>
      <c r="C22" s="7"/>
      <c r="D22" s="7" t="s">
        <v>53</v>
      </c>
      <c r="E22" s="7">
        <v>0.12</v>
      </c>
      <c r="F22" s="8">
        <f>13.2*F3</f>
        <v>1386</v>
      </c>
      <c r="G22" s="8">
        <f>+F22*E22</f>
        <v>166.32</v>
      </c>
    </row>
    <row r="23" spans="2:7" x14ac:dyDescent="0.25">
      <c r="B23" s="6" t="s">
        <v>24</v>
      </c>
      <c r="C23" s="7"/>
      <c r="D23" s="7" t="s">
        <v>74</v>
      </c>
      <c r="E23" s="7">
        <v>0.6</v>
      </c>
      <c r="F23" s="8">
        <f>12*F4</f>
        <v>2940</v>
      </c>
      <c r="G23" s="8">
        <f>+F23*E23</f>
        <v>1764</v>
      </c>
    </row>
    <row r="24" spans="2:7" x14ac:dyDescent="0.25">
      <c r="B24" s="6" t="s">
        <v>25</v>
      </c>
      <c r="C24" s="7"/>
      <c r="D24" s="7" t="s">
        <v>54</v>
      </c>
      <c r="E24" s="7">
        <v>0.35</v>
      </c>
      <c r="F24" s="8">
        <f>7*F3</f>
        <v>735</v>
      </c>
      <c r="G24" s="8">
        <f>+F24*E24</f>
        <v>257.25</v>
      </c>
    </row>
    <row r="25" spans="2:7" x14ac:dyDescent="0.25">
      <c r="B25" s="22" t="s">
        <v>55</v>
      </c>
      <c r="D25" s="23" t="s">
        <v>56</v>
      </c>
      <c r="E25" s="23">
        <v>0.5</v>
      </c>
      <c r="F25" s="8">
        <f>40.5*F3</f>
        <v>4252.5</v>
      </c>
      <c r="G25" s="24">
        <f>E25*F25</f>
        <v>2126.25</v>
      </c>
    </row>
    <row r="26" spans="2:7" x14ac:dyDescent="0.25">
      <c r="B26" s="22" t="s">
        <v>63</v>
      </c>
      <c r="C26" s="25">
        <v>3</v>
      </c>
      <c r="D26" s="23"/>
      <c r="E26" s="23">
        <v>0.1</v>
      </c>
      <c r="F26" s="8">
        <f>21.5*F3</f>
        <v>2257.5</v>
      </c>
      <c r="G26" s="24">
        <f>E26*F26*C26</f>
        <v>677.25</v>
      </c>
    </row>
    <row r="27" spans="2:7" x14ac:dyDescent="0.25">
      <c r="B27" s="6" t="s">
        <v>26</v>
      </c>
      <c r="C27" s="7"/>
      <c r="D27" s="7" t="str">
        <f>[1]INSUMOS!B66</f>
        <v>ADHERENTE</v>
      </c>
      <c r="E27" s="7">
        <v>0.3</v>
      </c>
      <c r="F27" s="8">
        <f>3.3*F3</f>
        <v>346.5</v>
      </c>
      <c r="G27" s="8">
        <f>+F27*E27</f>
        <v>103.95</v>
      </c>
    </row>
    <row r="28" spans="2:7" x14ac:dyDescent="0.25">
      <c r="B28" s="6" t="s">
        <v>27</v>
      </c>
      <c r="C28" s="7">
        <v>1</v>
      </c>
      <c r="D28" s="7"/>
      <c r="E28" s="7"/>
      <c r="F28" s="8">
        <f>10*F5</f>
        <v>910</v>
      </c>
      <c r="G28" s="8">
        <f>+F28*C28</f>
        <v>910</v>
      </c>
    </row>
    <row r="29" spans="2:7" x14ac:dyDescent="0.25">
      <c r="B29" s="6" t="s">
        <v>28</v>
      </c>
      <c r="C29" s="7"/>
      <c r="D29" s="7" t="str">
        <f>[1]INSUMOS!B40</f>
        <v>UREA</v>
      </c>
      <c r="E29" s="7">
        <v>180</v>
      </c>
      <c r="F29" s="8">
        <f>980*F3/1000</f>
        <v>102.9</v>
      </c>
      <c r="G29" s="8">
        <f>+F29*E29</f>
        <v>18522</v>
      </c>
    </row>
    <row r="30" spans="2:7" x14ac:dyDescent="0.25">
      <c r="B30" s="6" t="s">
        <v>29</v>
      </c>
      <c r="C30" s="7">
        <v>1</v>
      </c>
      <c r="D30" s="7"/>
      <c r="E30" s="7"/>
      <c r="F30" s="8">
        <f>90*F5</f>
        <v>8190</v>
      </c>
      <c r="G30" s="8">
        <f>+F30*C30</f>
        <v>8190</v>
      </c>
    </row>
    <row r="31" spans="2:7" x14ac:dyDescent="0.25">
      <c r="B31" s="37" t="s">
        <v>30</v>
      </c>
      <c r="C31" s="38"/>
      <c r="D31" s="38"/>
      <c r="E31" s="38"/>
      <c r="F31" s="45"/>
      <c r="G31" s="29">
        <f>SUM(G11:G30)</f>
        <v>72553.17</v>
      </c>
    </row>
    <row r="32" spans="2:7" x14ac:dyDescent="0.25">
      <c r="F32" s="30" t="s">
        <v>81</v>
      </c>
      <c r="G32" s="31">
        <f>G31/F3</f>
        <v>690.98257142857142</v>
      </c>
    </row>
    <row r="34" spans="2:10" x14ac:dyDescent="0.25">
      <c r="B34" s="37" t="s">
        <v>31</v>
      </c>
      <c r="C34" s="38"/>
      <c r="D34" s="39"/>
      <c r="E34" s="11" t="s">
        <v>32</v>
      </c>
    </row>
    <row r="35" spans="2:10" x14ac:dyDescent="0.25">
      <c r="B35" s="6" t="s">
        <v>33</v>
      </c>
      <c r="C35" s="6" t="s">
        <v>34</v>
      </c>
      <c r="D35" s="12">
        <f>F4*F5</f>
        <v>22295</v>
      </c>
      <c r="E35" s="6"/>
    </row>
    <row r="36" spans="2:10" x14ac:dyDescent="0.25">
      <c r="B36" s="6" t="s">
        <v>35</v>
      </c>
      <c r="C36" s="6" t="s">
        <v>36</v>
      </c>
      <c r="D36" s="7">
        <v>3500</v>
      </c>
      <c r="E36" s="13">
        <f>D36/1000</f>
        <v>3.5</v>
      </c>
    </row>
    <row r="37" spans="2:10" x14ac:dyDescent="0.25">
      <c r="B37" s="37" t="s">
        <v>37</v>
      </c>
      <c r="C37" s="38"/>
      <c r="D37" s="39"/>
      <c r="E37" s="10">
        <f>$D$35*$E$36</f>
        <v>78032.5</v>
      </c>
    </row>
    <row r="39" spans="2:10" x14ac:dyDescent="0.25">
      <c r="B39" s="11" t="s">
        <v>38</v>
      </c>
      <c r="C39" s="11" t="s">
        <v>39</v>
      </c>
      <c r="D39" s="11" t="s">
        <v>13</v>
      </c>
    </row>
    <row r="40" spans="2:10" x14ac:dyDescent="0.25">
      <c r="B40" s="6" t="s">
        <v>75</v>
      </c>
      <c r="C40" s="14">
        <f>D40/E37</f>
        <v>6.7279659116393817E-2</v>
      </c>
      <c r="D40" s="20">
        <f>1500*E36</f>
        <v>5250</v>
      </c>
      <c r="E40" s="28"/>
      <c r="F40" s="27"/>
      <c r="G40" s="27"/>
    </row>
    <row r="41" spans="2:10" x14ac:dyDescent="0.25">
      <c r="B41" s="6" t="s">
        <v>41</v>
      </c>
      <c r="C41" s="14">
        <v>0.02</v>
      </c>
      <c r="D41" s="12">
        <f>C41*$E$37</f>
        <v>1560.65</v>
      </c>
      <c r="E41" s="26"/>
      <c r="H41" s="27"/>
    </row>
    <row r="42" spans="2:10" x14ac:dyDescent="0.25">
      <c r="B42" s="6" t="s">
        <v>42</v>
      </c>
      <c r="C42" s="14">
        <v>0.02</v>
      </c>
      <c r="D42" s="12">
        <f>C42*$E$37</f>
        <v>1560.65</v>
      </c>
    </row>
    <row r="43" spans="2:10" x14ac:dyDescent="0.25">
      <c r="B43" s="11" t="s">
        <v>43</v>
      </c>
      <c r="C43" s="15">
        <f>SUM(C40:C42)</f>
        <v>0.10727965911639382</v>
      </c>
      <c r="D43" s="10">
        <f>E37*C43</f>
        <v>8371.3000000000011</v>
      </c>
    </row>
    <row r="46" spans="2:10" x14ac:dyDescent="0.25">
      <c r="B46" s="11" t="s">
        <v>44</v>
      </c>
      <c r="C46" s="11" t="s">
        <v>13</v>
      </c>
      <c r="D46" s="46">
        <f>E37-D43</f>
        <v>69661.2</v>
      </c>
      <c r="E46" s="41"/>
      <c r="F46" s="42"/>
      <c r="I46" t="s">
        <v>77</v>
      </c>
      <c r="J46" s="20">
        <f>G11+G12+G13+G14+G15+G16+G17+G20+G28+G30</f>
        <v>23040</v>
      </c>
    </row>
    <row r="47" spans="2:10" x14ac:dyDescent="0.25">
      <c r="B47" s="16"/>
      <c r="C47" s="16"/>
      <c r="D47" s="16"/>
      <c r="E47" s="16"/>
      <c r="F47" s="16"/>
      <c r="I47" t="s">
        <v>78</v>
      </c>
      <c r="J47" s="20">
        <f>G18+G21+G22+G23+G24+G25+G26+G27</f>
        <v>21751.170000000002</v>
      </c>
    </row>
    <row r="48" spans="2:10" x14ac:dyDescent="0.25">
      <c r="B48" s="11" t="s">
        <v>45</v>
      </c>
      <c r="C48" s="11" t="s">
        <v>13</v>
      </c>
      <c r="D48" s="46">
        <f>+G31</f>
        <v>72553.17</v>
      </c>
      <c r="E48" s="41"/>
      <c r="F48" s="42"/>
      <c r="I48" t="s">
        <v>80</v>
      </c>
      <c r="J48" s="20">
        <f>G19+G29</f>
        <v>27762</v>
      </c>
    </row>
    <row r="49" spans="2:10" x14ac:dyDescent="0.25">
      <c r="B49" s="16"/>
      <c r="C49" s="16"/>
      <c r="D49" s="16"/>
      <c r="E49" s="16"/>
      <c r="F49" s="16"/>
      <c r="I49" t="s">
        <v>79</v>
      </c>
      <c r="J49" s="20">
        <f>D43</f>
        <v>8371.3000000000011</v>
      </c>
    </row>
    <row r="50" spans="2:10" x14ac:dyDescent="0.25">
      <c r="B50" s="11" t="s">
        <v>46</v>
      </c>
      <c r="C50" s="11" t="s">
        <v>13</v>
      </c>
      <c r="D50" s="46">
        <f>+D46-D48</f>
        <v>-2891.9700000000012</v>
      </c>
      <c r="E50" s="41"/>
      <c r="F50" s="42"/>
    </row>
    <row r="52" spans="2:10" x14ac:dyDescent="0.25">
      <c r="B52" s="11" t="s">
        <v>61</v>
      </c>
      <c r="C52" s="11" t="s">
        <v>62</v>
      </c>
      <c r="D52" s="46">
        <f>(D48)/(D35-(D35*C43))</f>
        <v>3.6453017605209213</v>
      </c>
      <c r="E52" s="41"/>
      <c r="F52" s="42"/>
    </row>
  </sheetData>
  <mergeCells count="11">
    <mergeCell ref="D52:F52"/>
    <mergeCell ref="B37:D37"/>
    <mergeCell ref="D46:F46"/>
    <mergeCell ref="D48:F48"/>
    <mergeCell ref="D50:F50"/>
    <mergeCell ref="B34:D34"/>
    <mergeCell ref="B8:G8"/>
    <mergeCell ref="B9:C9"/>
    <mergeCell ref="D9:E9"/>
    <mergeCell ref="F9:G9"/>
    <mergeCell ref="B31:F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463D-958A-4B95-BB5B-AD50DD5DB996}">
  <dimension ref="B1:J53"/>
  <sheetViews>
    <sheetView topLeftCell="A32" workbookViewId="0">
      <selection activeCell="D54" sqref="D54"/>
    </sheetView>
  </sheetViews>
  <sheetFormatPr baseColWidth="10" defaultRowHeight="15" x14ac:dyDescent="0.25"/>
  <cols>
    <col min="2" max="2" width="33.140625" customWidth="1"/>
    <col min="4" max="4" width="13" customWidth="1"/>
  </cols>
  <sheetData>
    <row r="1" spans="2:8" x14ac:dyDescent="0.25">
      <c r="F1" s="1" t="s">
        <v>0</v>
      </c>
      <c r="G1" s="2">
        <v>44489</v>
      </c>
    </row>
    <row r="2" spans="2:8" x14ac:dyDescent="0.25">
      <c r="F2" s="1" t="s">
        <v>1</v>
      </c>
      <c r="G2" s="1">
        <v>105</v>
      </c>
    </row>
    <row r="3" spans="2:8" x14ac:dyDescent="0.25">
      <c r="F3" s="1" t="s">
        <v>2</v>
      </c>
      <c r="G3" s="1">
        <v>500</v>
      </c>
      <c r="H3" s="25" t="s">
        <v>73</v>
      </c>
    </row>
    <row r="4" spans="2:8" x14ac:dyDescent="0.25">
      <c r="F4" s="55" t="s">
        <v>57</v>
      </c>
      <c r="G4" s="56">
        <v>91</v>
      </c>
    </row>
    <row r="5" spans="2:8" ht="26.25" x14ac:dyDescent="0.4">
      <c r="B5" s="17" t="s">
        <v>47</v>
      </c>
      <c r="C5" s="3"/>
      <c r="D5" s="3"/>
      <c r="E5" s="3"/>
      <c r="F5" s="3"/>
      <c r="G5" s="3"/>
    </row>
    <row r="7" spans="2:8" x14ac:dyDescent="0.25">
      <c r="B7" s="40" t="s">
        <v>4</v>
      </c>
      <c r="C7" s="41"/>
      <c r="D7" s="41"/>
      <c r="E7" s="41"/>
      <c r="F7" s="41"/>
      <c r="G7" s="42"/>
    </row>
    <row r="8" spans="2:8" x14ac:dyDescent="0.25">
      <c r="B8" s="43" t="s">
        <v>5</v>
      </c>
      <c r="C8" s="44"/>
      <c r="D8" s="43" t="s">
        <v>6</v>
      </c>
      <c r="E8" s="44"/>
      <c r="F8" s="43" t="s">
        <v>7</v>
      </c>
      <c r="G8" s="44"/>
    </row>
    <row r="9" spans="2:8" x14ac:dyDescent="0.25"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</row>
    <row r="10" spans="2:8" x14ac:dyDescent="0.25">
      <c r="B10" s="6" t="s">
        <v>14</v>
      </c>
      <c r="C10" s="7">
        <v>1</v>
      </c>
      <c r="D10" s="7"/>
      <c r="E10" s="7"/>
      <c r="F10" s="8">
        <f>40*G4</f>
        <v>3640</v>
      </c>
      <c r="G10" s="8">
        <f>+F10*C10</f>
        <v>3640</v>
      </c>
    </row>
    <row r="11" spans="2:8" x14ac:dyDescent="0.25">
      <c r="B11" s="6" t="s">
        <v>15</v>
      </c>
      <c r="C11" s="7">
        <v>2</v>
      </c>
      <c r="D11" s="7"/>
      <c r="E11" s="7"/>
      <c r="F11" s="8">
        <f>30*G4</f>
        <v>2730</v>
      </c>
      <c r="G11" s="8">
        <f t="shared" ref="G11:G16" si="0">+F11*C11</f>
        <v>5460</v>
      </c>
    </row>
    <row r="12" spans="2:8" x14ac:dyDescent="0.25">
      <c r="B12" s="6" t="s">
        <v>16</v>
      </c>
      <c r="C12" s="7">
        <v>1</v>
      </c>
      <c r="D12" s="7"/>
      <c r="E12" s="7"/>
      <c r="F12" s="8">
        <f>35*G4</f>
        <v>3185</v>
      </c>
      <c r="G12" s="8">
        <f t="shared" si="0"/>
        <v>3185</v>
      </c>
    </row>
    <row r="13" spans="2:8" x14ac:dyDescent="0.25">
      <c r="B13" s="6" t="s">
        <v>17</v>
      </c>
      <c r="C13" s="7">
        <v>2</v>
      </c>
      <c r="D13" s="7"/>
      <c r="E13" s="7"/>
      <c r="F13" s="8">
        <f>5*G4</f>
        <v>455</v>
      </c>
      <c r="G13" s="8">
        <f t="shared" si="0"/>
        <v>910</v>
      </c>
    </row>
    <row r="14" spans="2:8" x14ac:dyDescent="0.25">
      <c r="B14" s="6" t="s">
        <v>18</v>
      </c>
      <c r="C14" s="7">
        <v>1</v>
      </c>
      <c r="D14" s="7"/>
      <c r="E14" s="7"/>
      <c r="F14" s="8">
        <f>5*G4</f>
        <v>455</v>
      </c>
      <c r="G14" s="8">
        <f t="shared" si="0"/>
        <v>455</v>
      </c>
    </row>
    <row r="15" spans="2:8" x14ac:dyDescent="0.25">
      <c r="B15" s="6" t="s">
        <v>48</v>
      </c>
      <c r="C15" s="7">
        <v>3</v>
      </c>
      <c r="D15" s="7"/>
      <c r="E15" s="7"/>
      <c r="F15" s="8">
        <v>600</v>
      </c>
      <c r="G15" s="8">
        <f t="shared" si="0"/>
        <v>1800</v>
      </c>
    </row>
    <row r="16" spans="2:8" x14ac:dyDescent="0.25">
      <c r="B16" s="6" t="s">
        <v>20</v>
      </c>
      <c r="C16" s="7">
        <v>1</v>
      </c>
      <c r="D16" s="7"/>
      <c r="E16" s="7"/>
      <c r="F16" s="8">
        <f>35*G4</f>
        <v>3185</v>
      </c>
      <c r="G16" s="8">
        <f t="shared" si="0"/>
        <v>3185</v>
      </c>
    </row>
    <row r="17" spans="2:7" x14ac:dyDescent="0.25">
      <c r="B17" s="6" t="s">
        <v>21</v>
      </c>
      <c r="C17" s="7"/>
      <c r="D17" s="18" t="str">
        <f>[1]INSUMOS!B86</f>
        <v>GIRASOL COMÚN</v>
      </c>
      <c r="E17" s="7">
        <v>65000</v>
      </c>
      <c r="F17" s="19">
        <f>270*G2/280000</f>
        <v>0.10125000000000001</v>
      </c>
      <c r="G17" s="8">
        <f>+F17*E17</f>
        <v>6581.25</v>
      </c>
    </row>
    <row r="18" spans="2:7" x14ac:dyDescent="0.25">
      <c r="B18" s="6" t="s">
        <v>22</v>
      </c>
      <c r="C18" s="7"/>
      <c r="D18" s="9" t="s">
        <v>51</v>
      </c>
      <c r="E18" s="7">
        <v>80</v>
      </c>
      <c r="F18" s="8">
        <f>880*G2/1000</f>
        <v>92.4</v>
      </c>
      <c r="G18" s="8">
        <f>+F18*E18</f>
        <v>7392</v>
      </c>
    </row>
    <row r="19" spans="2:7" x14ac:dyDescent="0.25">
      <c r="B19" s="6" t="s">
        <v>49</v>
      </c>
      <c r="C19" s="7">
        <v>3</v>
      </c>
      <c r="D19" s="7"/>
      <c r="E19" s="7"/>
      <c r="F19" s="8">
        <f>10*G4</f>
        <v>910</v>
      </c>
      <c r="G19" s="8">
        <f>+F19*C19</f>
        <v>2730</v>
      </c>
    </row>
    <row r="20" spans="2:7" x14ac:dyDescent="0.25">
      <c r="B20" s="22" t="s">
        <v>68</v>
      </c>
      <c r="C20" s="23">
        <v>3</v>
      </c>
      <c r="D20" t="s">
        <v>84</v>
      </c>
      <c r="E20" s="25">
        <v>0.1</v>
      </c>
      <c r="F20" s="8">
        <f>21.5*G2</f>
        <v>2257.5</v>
      </c>
      <c r="G20" s="8">
        <f>+F20*C20*E20</f>
        <v>677.25</v>
      </c>
    </row>
    <row r="21" spans="2:7" x14ac:dyDescent="0.25">
      <c r="B21" s="6" t="s">
        <v>24</v>
      </c>
      <c r="C21" s="7"/>
      <c r="D21" s="7" t="s">
        <v>64</v>
      </c>
      <c r="E21" s="7">
        <v>1</v>
      </c>
      <c r="F21" s="8">
        <f>11.5*G2</f>
        <v>1207.5</v>
      </c>
      <c r="G21" s="8">
        <f>+F21*E21</f>
        <v>1207.5</v>
      </c>
    </row>
    <row r="22" spans="2:7" x14ac:dyDescent="0.25">
      <c r="B22" s="6" t="s">
        <v>24</v>
      </c>
      <c r="C22" s="7"/>
      <c r="D22" s="7" t="s">
        <v>65</v>
      </c>
      <c r="E22" s="7">
        <v>1.2</v>
      </c>
      <c r="F22" s="8">
        <f>16*G2</f>
        <v>1680</v>
      </c>
      <c r="G22" s="8">
        <f>+F22*E22</f>
        <v>2016</v>
      </c>
    </row>
    <row r="23" spans="2:7" x14ac:dyDescent="0.25">
      <c r="B23" s="6" t="s">
        <v>24</v>
      </c>
      <c r="C23" s="7"/>
      <c r="D23" s="7" t="s">
        <v>66</v>
      </c>
      <c r="E23" s="7">
        <f>1/20</f>
        <v>0.05</v>
      </c>
      <c r="F23" s="8">
        <f>168*G2</f>
        <v>17640</v>
      </c>
      <c r="G23" s="8">
        <f>+F23*E23</f>
        <v>882</v>
      </c>
    </row>
    <row r="24" spans="2:7" x14ac:dyDescent="0.25">
      <c r="B24" s="6" t="s">
        <v>25</v>
      </c>
      <c r="C24" s="7"/>
      <c r="D24" s="7" t="s">
        <v>69</v>
      </c>
      <c r="E24" s="7">
        <v>0.2</v>
      </c>
      <c r="F24" s="8">
        <f>46*G2</f>
        <v>4830</v>
      </c>
      <c r="G24" s="8">
        <f>+F24*E24</f>
        <v>966</v>
      </c>
    </row>
    <row r="25" spans="2:7" ht="14.25" customHeight="1" x14ac:dyDescent="0.25">
      <c r="B25" s="6" t="s">
        <v>71</v>
      </c>
      <c r="C25" s="7"/>
      <c r="D25" s="7" t="s">
        <v>72</v>
      </c>
      <c r="E25" s="7">
        <v>2.5</v>
      </c>
      <c r="F25" s="8">
        <f>5*G2</f>
        <v>525</v>
      </c>
      <c r="G25" s="8">
        <f>+F25*E25</f>
        <v>1312.5</v>
      </c>
    </row>
    <row r="26" spans="2:7" ht="14.25" customHeight="1" x14ac:dyDescent="0.25">
      <c r="B26" s="6" t="s">
        <v>85</v>
      </c>
      <c r="C26" s="7"/>
      <c r="D26" s="7" t="s">
        <v>86</v>
      </c>
      <c r="E26" s="7">
        <v>1</v>
      </c>
      <c r="F26" s="8">
        <f>5*G2</f>
        <v>525</v>
      </c>
      <c r="G26" s="8">
        <f>E26*F26</f>
        <v>525</v>
      </c>
    </row>
    <row r="27" spans="2:7" x14ac:dyDescent="0.25">
      <c r="B27" s="6" t="s">
        <v>70</v>
      </c>
      <c r="C27" s="7">
        <v>1</v>
      </c>
      <c r="D27" s="7"/>
      <c r="E27" s="7"/>
      <c r="F27" s="8">
        <f>10*G4</f>
        <v>910</v>
      </c>
      <c r="G27" s="8">
        <f>+F27*C27</f>
        <v>910</v>
      </c>
    </row>
    <row r="28" spans="2:7" x14ac:dyDescent="0.25">
      <c r="B28" s="6" t="s">
        <v>22</v>
      </c>
      <c r="C28" s="7"/>
      <c r="D28" s="7" t="s">
        <v>67</v>
      </c>
      <c r="E28" s="7">
        <v>100</v>
      </c>
      <c r="F28" s="8">
        <f>980*G2/1000</f>
        <v>102.9</v>
      </c>
      <c r="G28" s="8">
        <f>+F28*E28</f>
        <v>10290</v>
      </c>
    </row>
    <row r="29" spans="2:7" x14ac:dyDescent="0.25">
      <c r="B29" s="6" t="s">
        <v>29</v>
      </c>
      <c r="C29" s="7">
        <v>1</v>
      </c>
      <c r="D29" s="7"/>
      <c r="E29" s="7"/>
      <c r="F29" s="8">
        <f>90*G4</f>
        <v>8190</v>
      </c>
      <c r="G29" s="8">
        <f>+F29*C29</f>
        <v>8190</v>
      </c>
    </row>
    <row r="30" spans="2:7" x14ac:dyDescent="0.25">
      <c r="B30" s="37" t="s">
        <v>30</v>
      </c>
      <c r="C30" s="38"/>
      <c r="D30" s="38"/>
      <c r="E30" s="38"/>
      <c r="F30" s="39"/>
      <c r="G30" s="10">
        <f>SUM(G10:G29)</f>
        <v>62314.5</v>
      </c>
    </row>
    <row r="31" spans="2:7" x14ac:dyDescent="0.25">
      <c r="F31" s="30" t="s">
        <v>81</v>
      </c>
      <c r="G31" s="32">
        <f>G30/G2</f>
        <v>593.47142857142853</v>
      </c>
    </row>
    <row r="34" spans="2:10" x14ac:dyDescent="0.25">
      <c r="B34" s="37" t="s">
        <v>31</v>
      </c>
      <c r="C34" s="38"/>
      <c r="D34" s="39"/>
      <c r="E34" s="11" t="s">
        <v>32</v>
      </c>
    </row>
    <row r="35" spans="2:10" x14ac:dyDescent="0.25">
      <c r="B35" s="6" t="s">
        <v>33</v>
      </c>
      <c r="C35" s="6" t="s">
        <v>34</v>
      </c>
      <c r="D35" s="12">
        <f>$G$3*$G$4</f>
        <v>45500</v>
      </c>
      <c r="E35" s="6"/>
    </row>
    <row r="36" spans="2:10" x14ac:dyDescent="0.25">
      <c r="B36" s="6" t="s">
        <v>35</v>
      </c>
      <c r="C36" s="6" t="s">
        <v>36</v>
      </c>
      <c r="D36" s="6">
        <v>3500</v>
      </c>
      <c r="E36" s="13">
        <f>D36/1000</f>
        <v>3.5</v>
      </c>
    </row>
    <row r="37" spans="2:10" x14ac:dyDescent="0.25">
      <c r="B37" s="37" t="s">
        <v>37</v>
      </c>
      <c r="C37" s="38"/>
      <c r="D37" s="39"/>
      <c r="E37" s="10">
        <f>D35*E36</f>
        <v>159250</v>
      </c>
    </row>
    <row r="39" spans="2:10" x14ac:dyDescent="0.25">
      <c r="G39" s="20"/>
    </row>
    <row r="40" spans="2:10" x14ac:dyDescent="0.25">
      <c r="B40" s="11" t="s">
        <v>38</v>
      </c>
      <c r="C40" s="11" t="s">
        <v>39</v>
      </c>
      <c r="D40" s="11" t="s">
        <v>13</v>
      </c>
    </row>
    <row r="41" spans="2:10" x14ac:dyDescent="0.25">
      <c r="B41" s="6" t="s">
        <v>40</v>
      </c>
      <c r="C41" s="14">
        <f>D41/E37</f>
        <v>3.2967032967032968E-2</v>
      </c>
      <c r="D41" s="13">
        <f>1500*E36</f>
        <v>5250</v>
      </c>
      <c r="E41" s="20"/>
    </row>
    <row r="42" spans="2:10" x14ac:dyDescent="0.25">
      <c r="B42" s="6" t="s">
        <v>41</v>
      </c>
      <c r="C42" s="14">
        <v>0.02</v>
      </c>
      <c r="D42" s="13">
        <f>C42*E37</f>
        <v>3185</v>
      </c>
    </row>
    <row r="43" spans="2:10" x14ac:dyDescent="0.25">
      <c r="B43" s="6" t="s">
        <v>42</v>
      </c>
      <c r="C43" s="14">
        <v>0.02</v>
      </c>
      <c r="D43" s="13">
        <f>C43*E37</f>
        <v>3185</v>
      </c>
    </row>
    <row r="44" spans="2:10" x14ac:dyDescent="0.25">
      <c r="B44" s="11" t="s">
        <v>43</v>
      </c>
      <c r="C44" s="15">
        <f>SUM(C41:C43)</f>
        <v>7.2967032967032969E-2</v>
      </c>
      <c r="D44" s="10">
        <f>SUM(D41:D43)</f>
        <v>11620</v>
      </c>
    </row>
    <row r="47" spans="2:10" x14ac:dyDescent="0.25">
      <c r="B47" s="11" t="s">
        <v>44</v>
      </c>
      <c r="C47" s="11" t="s">
        <v>13</v>
      </c>
      <c r="D47" s="46">
        <f>E37-D44</f>
        <v>147630</v>
      </c>
      <c r="E47" s="50"/>
      <c r="F47" s="51"/>
    </row>
    <row r="48" spans="2:10" x14ac:dyDescent="0.25">
      <c r="B48" s="16"/>
      <c r="C48" s="16"/>
      <c r="D48" s="16"/>
      <c r="E48" s="16"/>
      <c r="F48" s="16"/>
      <c r="I48" t="s">
        <v>77</v>
      </c>
      <c r="J48" s="20">
        <f>G10+G11+G12+G13+G14+G15+G16+G19+G27+G29</f>
        <v>30465</v>
      </c>
    </row>
    <row r="49" spans="2:10" x14ac:dyDescent="0.25">
      <c r="B49" s="11" t="s">
        <v>45</v>
      </c>
      <c r="C49" s="11" t="s">
        <v>13</v>
      </c>
      <c r="D49" s="46">
        <f>+G30</f>
        <v>62314.5</v>
      </c>
      <c r="E49" s="50"/>
      <c r="F49" s="51"/>
      <c r="I49" t="s">
        <v>78</v>
      </c>
      <c r="J49" s="20">
        <f>G17+G20+G21+G22+G23+G24+G25+G26</f>
        <v>14167.5</v>
      </c>
    </row>
    <row r="50" spans="2:10" x14ac:dyDescent="0.25">
      <c r="B50" s="16"/>
      <c r="C50" s="16"/>
      <c r="D50" s="16"/>
      <c r="E50" s="16"/>
      <c r="F50" s="16"/>
      <c r="I50" t="s">
        <v>80</v>
      </c>
      <c r="J50" s="20">
        <f>G18+G28</f>
        <v>17682</v>
      </c>
    </row>
    <row r="51" spans="2:10" x14ac:dyDescent="0.25">
      <c r="B51" s="11" t="s">
        <v>46</v>
      </c>
      <c r="C51" s="11" t="s">
        <v>13</v>
      </c>
      <c r="D51" s="46">
        <f>+D47-D49</f>
        <v>85315.5</v>
      </c>
      <c r="E51" s="41"/>
      <c r="F51" s="42"/>
      <c r="I51" t="s">
        <v>79</v>
      </c>
      <c r="J51" s="20">
        <f>D44</f>
        <v>11620</v>
      </c>
    </row>
    <row r="53" spans="2:10" x14ac:dyDescent="0.25">
      <c r="B53" s="11" t="s">
        <v>61</v>
      </c>
      <c r="C53" s="11" t="s">
        <v>62</v>
      </c>
      <c r="D53" s="47">
        <f>(D49)/(D35-(D35*C44))</f>
        <v>1.4773470839260312</v>
      </c>
      <c r="E53" s="48"/>
      <c r="F53" s="49"/>
    </row>
  </sheetData>
  <mergeCells count="11">
    <mergeCell ref="D53:F53"/>
    <mergeCell ref="B37:D37"/>
    <mergeCell ref="D47:F47"/>
    <mergeCell ref="D49:F49"/>
    <mergeCell ref="D51:F51"/>
    <mergeCell ref="B34:D34"/>
    <mergeCell ref="B7:G7"/>
    <mergeCell ref="B8:C8"/>
    <mergeCell ref="D8:E8"/>
    <mergeCell ref="F8:G8"/>
    <mergeCell ref="B30:F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67A1-CCE1-4BF0-8D88-45AF7901A16B}">
  <dimension ref="B2:N49"/>
  <sheetViews>
    <sheetView topLeftCell="A31" workbookViewId="0">
      <selection activeCell="D50" sqref="D50"/>
    </sheetView>
  </sheetViews>
  <sheetFormatPr baseColWidth="10" defaultRowHeight="15" x14ac:dyDescent="0.25"/>
  <cols>
    <col min="2" max="2" width="39.5703125" bestFit="1" customWidth="1"/>
    <col min="4" max="4" width="11.42578125" customWidth="1"/>
  </cols>
  <sheetData>
    <row r="2" spans="2:14" x14ac:dyDescent="0.25">
      <c r="F2" s="1" t="s">
        <v>0</v>
      </c>
      <c r="G2" s="2">
        <v>44489</v>
      </c>
    </row>
    <row r="3" spans="2:14" x14ac:dyDescent="0.25">
      <c r="F3" s="1" t="s">
        <v>1</v>
      </c>
      <c r="G3" s="1">
        <v>105</v>
      </c>
    </row>
    <row r="4" spans="2:14" x14ac:dyDescent="0.25">
      <c r="F4" s="1" t="s">
        <v>2</v>
      </c>
      <c r="G4" s="1">
        <v>200</v>
      </c>
    </row>
    <row r="5" spans="2:14" x14ac:dyDescent="0.25">
      <c r="F5" s="55" t="s">
        <v>57</v>
      </c>
      <c r="G5" s="56">
        <v>91</v>
      </c>
    </row>
    <row r="6" spans="2:14" ht="26.25" x14ac:dyDescent="0.4">
      <c r="B6" s="3" t="s">
        <v>50</v>
      </c>
      <c r="D6" s="21"/>
    </row>
    <row r="8" spans="2:14" x14ac:dyDescent="0.25">
      <c r="B8" s="40" t="s">
        <v>4</v>
      </c>
      <c r="C8" s="41"/>
      <c r="D8" s="41"/>
      <c r="E8" s="41"/>
      <c r="F8" s="41"/>
      <c r="G8" s="42"/>
    </row>
    <row r="9" spans="2:14" x14ac:dyDescent="0.25">
      <c r="B9" s="43" t="s">
        <v>5</v>
      </c>
      <c r="C9" s="44"/>
      <c r="D9" s="43" t="s">
        <v>6</v>
      </c>
      <c r="E9" s="44"/>
      <c r="F9" s="43" t="s">
        <v>7</v>
      </c>
      <c r="G9" s="44"/>
    </row>
    <row r="10" spans="2:14" x14ac:dyDescent="0.25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</row>
    <row r="11" spans="2:14" x14ac:dyDescent="0.25">
      <c r="B11" s="6" t="s">
        <v>14</v>
      </c>
      <c r="C11" s="7">
        <v>1</v>
      </c>
      <c r="D11" s="7"/>
      <c r="E11" s="7"/>
      <c r="F11" s="8">
        <f>40*G5</f>
        <v>3640</v>
      </c>
      <c r="G11" s="8">
        <f t="shared" ref="G11:G17" si="0">+F11*C11</f>
        <v>3640</v>
      </c>
    </row>
    <row r="12" spans="2:14" x14ac:dyDescent="0.25">
      <c r="B12" s="6" t="s">
        <v>15</v>
      </c>
      <c r="C12" s="7">
        <v>1</v>
      </c>
      <c r="D12" s="7"/>
      <c r="E12" s="7"/>
      <c r="F12" s="8">
        <f>30*G5</f>
        <v>2730</v>
      </c>
      <c r="G12" s="8">
        <f t="shared" si="0"/>
        <v>2730</v>
      </c>
    </row>
    <row r="13" spans="2:14" x14ac:dyDescent="0.25">
      <c r="B13" s="6" t="s">
        <v>16</v>
      </c>
      <c r="C13" s="7">
        <v>1</v>
      </c>
      <c r="D13" s="7"/>
      <c r="E13" s="7"/>
      <c r="F13" s="8">
        <f>35*G5</f>
        <v>3185</v>
      </c>
      <c r="G13" s="8">
        <f t="shared" si="0"/>
        <v>3185</v>
      </c>
    </row>
    <row r="14" spans="2:14" x14ac:dyDescent="0.25">
      <c r="B14" s="6" t="s">
        <v>17</v>
      </c>
      <c r="C14" s="7">
        <v>2</v>
      </c>
      <c r="D14" s="7"/>
      <c r="E14" s="7"/>
      <c r="F14" s="8">
        <f>5*G5</f>
        <v>455</v>
      </c>
      <c r="G14" s="8">
        <f t="shared" si="0"/>
        <v>910</v>
      </c>
    </row>
    <row r="15" spans="2:14" x14ac:dyDescent="0.25">
      <c r="B15" s="6" t="s">
        <v>18</v>
      </c>
      <c r="C15" s="7">
        <v>1</v>
      </c>
      <c r="D15" s="7"/>
      <c r="E15" s="7"/>
      <c r="F15" s="8">
        <f>5*G5</f>
        <v>455</v>
      </c>
      <c r="G15" s="8">
        <f t="shared" si="0"/>
        <v>455</v>
      </c>
    </row>
    <row r="16" spans="2:14" x14ac:dyDescent="0.25">
      <c r="B16" s="6" t="s">
        <v>19</v>
      </c>
      <c r="C16" s="7">
        <v>4</v>
      </c>
      <c r="D16" s="7"/>
      <c r="E16" s="7"/>
      <c r="F16" s="8">
        <v>600</v>
      </c>
      <c r="G16" s="8">
        <f t="shared" si="0"/>
        <v>2400</v>
      </c>
      <c r="K16" s="27"/>
      <c r="L16" s="27"/>
      <c r="M16" s="27"/>
      <c r="N16" s="27"/>
    </row>
    <row r="17" spans="2:14" x14ac:dyDescent="0.25">
      <c r="B17" s="6" t="s">
        <v>20</v>
      </c>
      <c r="C17" s="7">
        <v>1</v>
      </c>
      <c r="D17" s="7"/>
      <c r="E17" s="7"/>
      <c r="F17" s="8">
        <f>35*G5</f>
        <v>3185</v>
      </c>
      <c r="G17" s="8">
        <f t="shared" si="0"/>
        <v>3185</v>
      </c>
      <c r="K17" s="33"/>
      <c r="L17" s="34"/>
      <c r="M17" s="27"/>
      <c r="N17" s="35"/>
    </row>
    <row r="18" spans="2:14" x14ac:dyDescent="0.25">
      <c r="B18" s="6" t="s">
        <v>21</v>
      </c>
      <c r="C18" s="7"/>
      <c r="D18" s="9" t="s">
        <v>76</v>
      </c>
      <c r="E18" s="7">
        <v>80000</v>
      </c>
      <c r="F18" s="8">
        <f>190*G3/80000</f>
        <v>0.24937500000000001</v>
      </c>
      <c r="G18" s="8">
        <f>F18*E18</f>
        <v>19950</v>
      </c>
    </row>
    <row r="19" spans="2:14" x14ac:dyDescent="0.25">
      <c r="B19" s="6" t="s">
        <v>22</v>
      </c>
      <c r="C19" s="7"/>
      <c r="D19" s="9" t="s">
        <v>51</v>
      </c>
      <c r="E19" s="7">
        <v>100</v>
      </c>
      <c r="F19" s="8">
        <f>880*G3/1000</f>
        <v>92.4</v>
      </c>
      <c r="G19" s="8">
        <f>+F19*E19</f>
        <v>9240</v>
      </c>
    </row>
    <row r="20" spans="2:14" x14ac:dyDescent="0.25">
      <c r="B20" s="6" t="s">
        <v>23</v>
      </c>
      <c r="C20" s="7">
        <v>2</v>
      </c>
      <c r="D20" s="18"/>
      <c r="E20" s="7"/>
      <c r="F20" s="8">
        <f>10*G5</f>
        <v>910</v>
      </c>
      <c r="G20" s="8">
        <f>+F20*C20</f>
        <v>1820</v>
      </c>
    </row>
    <row r="21" spans="2:14" x14ac:dyDescent="0.25">
      <c r="B21" s="6" t="s">
        <v>63</v>
      </c>
      <c r="C21" s="7">
        <v>2</v>
      </c>
      <c r="D21" s="18" t="s">
        <v>84</v>
      </c>
      <c r="E21" s="23">
        <v>0.1</v>
      </c>
      <c r="F21" s="8">
        <f>21.5*G3</f>
        <v>2257.5</v>
      </c>
      <c r="G21" s="8">
        <f>C21*E21*F21</f>
        <v>451.5</v>
      </c>
    </row>
    <row r="22" spans="2:14" x14ac:dyDescent="0.25">
      <c r="B22" s="6" t="s">
        <v>24</v>
      </c>
      <c r="C22" s="7"/>
      <c r="D22" s="9" t="s">
        <v>58</v>
      </c>
      <c r="E22" s="7">
        <v>4</v>
      </c>
      <c r="F22" s="8">
        <f>9*G3</f>
        <v>945</v>
      </c>
      <c r="G22" s="8">
        <f>+F22*E22</f>
        <v>3780</v>
      </c>
    </row>
    <row r="23" spans="2:14" x14ac:dyDescent="0.25">
      <c r="B23" s="6" t="s">
        <v>24</v>
      </c>
      <c r="C23" s="7"/>
      <c r="D23" s="9" t="s">
        <v>60</v>
      </c>
      <c r="E23" s="7">
        <v>1.2</v>
      </c>
      <c r="F23" s="8">
        <f>8.5*G3</f>
        <v>892.5</v>
      </c>
      <c r="G23" s="8">
        <f>+F23*E23</f>
        <v>1071</v>
      </c>
    </row>
    <row r="24" spans="2:14" x14ac:dyDescent="0.25">
      <c r="B24" s="6" t="s">
        <v>82</v>
      </c>
      <c r="C24" s="7"/>
      <c r="D24" s="9" t="s">
        <v>83</v>
      </c>
      <c r="E24" s="7">
        <v>0.06</v>
      </c>
      <c r="F24" s="8">
        <f>40*G3</f>
        <v>4200</v>
      </c>
      <c r="G24" s="8">
        <f>E24*F24</f>
        <v>252</v>
      </c>
    </row>
    <row r="25" spans="2:14" x14ac:dyDescent="0.25">
      <c r="B25" s="6" t="s">
        <v>59</v>
      </c>
      <c r="C25" s="7">
        <v>2</v>
      </c>
      <c r="D25" s="18"/>
      <c r="E25" s="7"/>
      <c r="F25" s="8">
        <f>10*G5</f>
        <v>910</v>
      </c>
      <c r="G25" s="8">
        <f>+F25*C25</f>
        <v>1820</v>
      </c>
    </row>
    <row r="26" spans="2:14" x14ac:dyDescent="0.25">
      <c r="B26" s="6" t="s">
        <v>28</v>
      </c>
      <c r="C26" s="7"/>
      <c r="D26" s="18" t="str">
        <f>[1]INSUMOS!B40</f>
        <v>UREA</v>
      </c>
      <c r="E26" s="7">
        <v>300</v>
      </c>
      <c r="F26" s="8">
        <f>998*G3/1000</f>
        <v>104.79</v>
      </c>
      <c r="G26" s="8">
        <f>+F26*E26</f>
        <v>31437.000000000004</v>
      </c>
    </row>
    <row r="27" spans="2:14" x14ac:dyDescent="0.25">
      <c r="B27" s="6" t="s">
        <v>29</v>
      </c>
      <c r="C27" s="7">
        <v>1</v>
      </c>
      <c r="D27" s="7"/>
      <c r="E27" s="7"/>
      <c r="F27" s="8">
        <f>90*G5</f>
        <v>8190</v>
      </c>
      <c r="G27" s="8">
        <f>+F27*C27</f>
        <v>8190</v>
      </c>
    </row>
    <row r="28" spans="2:14" x14ac:dyDescent="0.25">
      <c r="B28" s="37" t="s">
        <v>30</v>
      </c>
      <c r="C28" s="38"/>
      <c r="D28" s="38"/>
      <c r="E28" s="38"/>
      <c r="F28" s="39"/>
      <c r="G28" s="10">
        <f>SUM(G11:G27)</f>
        <v>94516.5</v>
      </c>
    </row>
    <row r="29" spans="2:14" x14ac:dyDescent="0.25">
      <c r="F29" s="36" t="s">
        <v>81</v>
      </c>
      <c r="G29" s="32">
        <f>G28/G3</f>
        <v>900.15714285714284</v>
      </c>
    </row>
    <row r="31" spans="2:14" x14ac:dyDescent="0.25">
      <c r="B31" s="37" t="s">
        <v>31</v>
      </c>
      <c r="C31" s="38"/>
      <c r="D31" s="39"/>
      <c r="E31" s="11" t="s">
        <v>32</v>
      </c>
    </row>
    <row r="32" spans="2:14" x14ac:dyDescent="0.25">
      <c r="B32" s="6" t="s">
        <v>33</v>
      </c>
      <c r="C32" s="6" t="s">
        <v>34</v>
      </c>
      <c r="D32" s="12">
        <f>G3*G4</f>
        <v>21000</v>
      </c>
      <c r="E32" s="6"/>
    </row>
    <row r="33" spans="2:10" x14ac:dyDescent="0.25">
      <c r="B33" s="6" t="s">
        <v>35</v>
      </c>
      <c r="C33" s="6" t="s">
        <v>36</v>
      </c>
      <c r="D33" s="6">
        <v>9500</v>
      </c>
      <c r="E33" s="13">
        <f>D33/1000</f>
        <v>9.5</v>
      </c>
    </row>
    <row r="34" spans="2:10" x14ac:dyDescent="0.25">
      <c r="B34" s="52" t="s">
        <v>37</v>
      </c>
      <c r="C34" s="53"/>
      <c r="D34" s="54"/>
      <c r="E34" s="10">
        <f>+D32*E33</f>
        <v>199500</v>
      </c>
    </row>
    <row r="36" spans="2:10" x14ac:dyDescent="0.25">
      <c r="B36" s="11" t="s">
        <v>38</v>
      </c>
      <c r="C36" s="11" t="s">
        <v>39</v>
      </c>
      <c r="D36" s="11" t="s">
        <v>13</v>
      </c>
    </row>
    <row r="37" spans="2:10" x14ac:dyDescent="0.25">
      <c r="B37" s="6" t="s">
        <v>40</v>
      </c>
      <c r="C37" s="14">
        <f>D37/E34</f>
        <v>7.1428571428571425E-2</v>
      </c>
      <c r="D37" s="12">
        <f>1500*E33</f>
        <v>14250</v>
      </c>
      <c r="E37" s="20"/>
    </row>
    <row r="38" spans="2:10" x14ac:dyDescent="0.25">
      <c r="B38" s="6" t="s">
        <v>41</v>
      </c>
      <c r="C38" s="14">
        <v>0.02</v>
      </c>
      <c r="D38" s="12">
        <f t="shared" ref="D38:D39" si="1">C38*$E$34</f>
        <v>3990</v>
      </c>
    </row>
    <row r="39" spans="2:10" x14ac:dyDescent="0.25">
      <c r="B39" s="6" t="s">
        <v>42</v>
      </c>
      <c r="C39" s="14">
        <v>0.02</v>
      </c>
      <c r="D39" s="12">
        <f t="shared" si="1"/>
        <v>3990</v>
      </c>
      <c r="E39" s="20"/>
    </row>
    <row r="40" spans="2:10" x14ac:dyDescent="0.25">
      <c r="B40" s="11" t="s">
        <v>43</v>
      </c>
      <c r="C40" s="15">
        <f>SUM(C37:C39)</f>
        <v>0.11142857142857143</v>
      </c>
      <c r="D40" s="10">
        <f>$C$40*$E$34</f>
        <v>22230</v>
      </c>
    </row>
    <row r="43" spans="2:10" x14ac:dyDescent="0.25">
      <c r="B43" s="11" t="s">
        <v>44</v>
      </c>
      <c r="C43" s="11" t="s">
        <v>13</v>
      </c>
      <c r="D43" s="46">
        <f>+E34-D40</f>
        <v>177270</v>
      </c>
      <c r="E43" s="41"/>
      <c r="F43" s="42"/>
    </row>
    <row r="44" spans="2:10" x14ac:dyDescent="0.25">
      <c r="B44" s="16"/>
      <c r="C44" s="16"/>
      <c r="D44" s="16"/>
      <c r="E44" s="16"/>
      <c r="F44" s="16"/>
      <c r="I44" t="s">
        <v>77</v>
      </c>
      <c r="J44" s="20">
        <f>G11+G12+G13+G14+G15+G16+G17+G20+G25+G27</f>
        <v>28335</v>
      </c>
    </row>
    <row r="45" spans="2:10" x14ac:dyDescent="0.25">
      <c r="B45" s="11" t="s">
        <v>45</v>
      </c>
      <c r="C45" s="11" t="s">
        <v>13</v>
      </c>
      <c r="D45" s="46">
        <f>+G28</f>
        <v>94516.5</v>
      </c>
      <c r="E45" s="41"/>
      <c r="F45" s="42"/>
      <c r="I45" t="s">
        <v>78</v>
      </c>
      <c r="J45" s="20">
        <f>G18+G22+G23+G21+G24</f>
        <v>25504.5</v>
      </c>
    </row>
    <row r="46" spans="2:10" x14ac:dyDescent="0.25">
      <c r="B46" s="16"/>
      <c r="C46" s="16"/>
      <c r="D46" s="16"/>
      <c r="E46" s="16"/>
      <c r="F46" s="16"/>
      <c r="I46" t="s">
        <v>80</v>
      </c>
      <c r="J46" s="20">
        <f>G19+G26</f>
        <v>40677</v>
      </c>
    </row>
    <row r="47" spans="2:10" x14ac:dyDescent="0.25">
      <c r="B47" s="11" t="s">
        <v>46</v>
      </c>
      <c r="C47" s="11" t="s">
        <v>13</v>
      </c>
      <c r="D47" s="46">
        <f>+D43-D45</f>
        <v>82753.5</v>
      </c>
      <c r="E47" s="41"/>
      <c r="F47" s="42"/>
      <c r="I47" t="s">
        <v>79</v>
      </c>
      <c r="J47" s="20">
        <f>D40</f>
        <v>22230</v>
      </c>
    </row>
    <row r="49" spans="2:6" x14ac:dyDescent="0.25">
      <c r="B49" s="11" t="s">
        <v>61</v>
      </c>
      <c r="C49" s="11" t="s">
        <v>62</v>
      </c>
      <c r="D49" s="46">
        <f>(D45)/(D32-(D32*C40))</f>
        <v>5.0651929260450164</v>
      </c>
      <c r="E49" s="41"/>
      <c r="F49" s="42"/>
    </row>
  </sheetData>
  <mergeCells count="11">
    <mergeCell ref="D49:F49"/>
    <mergeCell ref="B34:D34"/>
    <mergeCell ref="D43:F43"/>
    <mergeCell ref="D45:F45"/>
    <mergeCell ref="D47:F47"/>
    <mergeCell ref="B31:D31"/>
    <mergeCell ref="B8:G8"/>
    <mergeCell ref="B9:C9"/>
    <mergeCell ref="D9:E9"/>
    <mergeCell ref="F9:G9"/>
    <mergeCell ref="B28:F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trigo</vt:lpstr>
      <vt:lpstr>Girasol</vt:lpstr>
      <vt:lpstr>Maiz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2021-10-20T13:14:54Z</dcterms:created>
  <dcterms:modified xsi:type="dcterms:W3CDTF">2021-11-03T15:10:09Z</dcterms:modified>
</cp:coreProperties>
</file>